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05" windowWidth="19320" windowHeight="8505"/>
  </bookViews>
  <sheets>
    <sheet name="Declaracion 2012" sheetId="3" r:id="rId1"/>
  </sheets>
  <calcPr calcId="125725"/>
</workbook>
</file>

<file path=xl/calcChain.xml><?xml version="1.0" encoding="utf-8"?>
<calcChain xmlns="http://schemas.openxmlformats.org/spreadsheetml/2006/main">
  <c r="O64" i="3"/>
  <c r="P64"/>
  <c r="P72"/>
  <c r="P70"/>
  <c r="P69"/>
  <c r="P68"/>
  <c r="P66"/>
  <c r="P65"/>
  <c r="L21"/>
  <c r="J21"/>
  <c r="I21"/>
  <c r="H21"/>
  <c r="G21"/>
  <c r="E21"/>
  <c r="D21"/>
  <c r="O51"/>
  <c r="O26"/>
  <c r="O31"/>
  <c r="O21"/>
  <c r="O20"/>
  <c r="O22"/>
  <c r="N31"/>
  <c r="N21"/>
  <c r="N20"/>
  <c r="N22"/>
  <c r="M51"/>
  <c r="M26"/>
  <c r="M31"/>
  <c r="M21"/>
  <c r="M20"/>
  <c r="M22"/>
  <c r="L20" l="1"/>
  <c r="L31"/>
  <c r="L26"/>
  <c r="L22"/>
  <c r="K51"/>
  <c r="K26"/>
  <c r="K31"/>
  <c r="K21"/>
  <c r="K20"/>
  <c r="K22"/>
  <c r="J51"/>
  <c r="J26"/>
  <c r="J31"/>
  <c r="J20"/>
  <c r="J22"/>
  <c r="I51"/>
  <c r="I26"/>
  <c r="I31"/>
  <c r="I20"/>
  <c r="I22"/>
  <c r="H51"/>
  <c r="H31"/>
  <c r="H20"/>
  <c r="H26"/>
  <c r="H27"/>
  <c r="H22"/>
  <c r="G31"/>
  <c r="G20"/>
  <c r="G22"/>
  <c r="F51"/>
  <c r="F26"/>
  <c r="F31"/>
  <c r="F21"/>
  <c r="F20"/>
  <c r="F22"/>
  <c r="E51"/>
  <c r="E26"/>
  <c r="E31"/>
  <c r="E20"/>
  <c r="E22"/>
  <c r="D43"/>
  <c r="D26"/>
  <c r="D51"/>
  <c r="D31"/>
  <c r="D20"/>
  <c r="D22"/>
  <c r="O15" l="1"/>
  <c r="N15"/>
  <c r="M15"/>
  <c r="L15"/>
  <c r="K15"/>
  <c r="J15"/>
  <c r="I15"/>
  <c r="H15"/>
  <c r="G15"/>
  <c r="F15"/>
  <c r="E15"/>
  <c r="D15"/>
  <c r="O13"/>
  <c r="N13"/>
  <c r="M13"/>
  <c r="L13"/>
  <c r="K13"/>
  <c r="J13"/>
  <c r="I13"/>
  <c r="H13"/>
  <c r="G13"/>
  <c r="F13"/>
  <c r="E13"/>
  <c r="D13"/>
  <c r="P42"/>
  <c r="P41"/>
  <c r="P40"/>
  <c r="P39"/>
  <c r="P38"/>
  <c r="P37"/>
  <c r="P36"/>
  <c r="N43"/>
  <c r="M35"/>
  <c r="M43" s="1"/>
  <c r="L43"/>
  <c r="K35"/>
  <c r="J43"/>
  <c r="I43"/>
  <c r="H43"/>
  <c r="F35"/>
  <c r="F43" s="1"/>
  <c r="E43"/>
  <c r="P58"/>
  <c r="P57"/>
  <c r="P56"/>
  <c r="P55"/>
  <c r="P54"/>
  <c r="P53"/>
  <c r="P52"/>
  <c r="P51"/>
  <c r="P50"/>
  <c r="P49"/>
  <c r="P48"/>
  <c r="O59"/>
  <c r="N59"/>
  <c r="M59"/>
  <c r="L59"/>
  <c r="K59"/>
  <c r="J59"/>
  <c r="I59"/>
  <c r="H59"/>
  <c r="G59"/>
  <c r="F59"/>
  <c r="E59"/>
  <c r="D59"/>
  <c r="O43"/>
  <c r="O65" s="1"/>
  <c r="O69" s="1"/>
  <c r="O72" s="1"/>
  <c r="O73" s="1"/>
  <c r="K43"/>
  <c r="G43"/>
  <c r="P34"/>
  <c r="P33"/>
  <c r="P32"/>
  <c r="P31"/>
  <c r="P30"/>
  <c r="P29"/>
  <c r="P28"/>
  <c r="P27"/>
  <c r="P26"/>
  <c r="P25"/>
  <c r="P24"/>
  <c r="P23"/>
  <c r="P22"/>
  <c r="P21"/>
  <c r="P20"/>
  <c r="H64" l="1"/>
  <c r="H65" s="1"/>
  <c r="H69" s="1"/>
  <c r="H72" s="1"/>
  <c r="H73" s="1"/>
  <c r="G64"/>
  <c r="G65" s="1"/>
  <c r="G69" s="1"/>
  <c r="G72" s="1"/>
  <c r="G73" s="1"/>
  <c r="F64"/>
  <c r="F65" s="1"/>
  <c r="F69" s="1"/>
  <c r="F72" s="1"/>
  <c r="F73" s="1"/>
  <c r="N64"/>
  <c r="N65" s="1"/>
  <c r="N69" s="1"/>
  <c r="N72" s="1"/>
  <c r="N73" s="1"/>
  <c r="L64"/>
  <c r="L65" s="1"/>
  <c r="L69" s="1"/>
  <c r="L72" s="1"/>
  <c r="L73" s="1"/>
  <c r="E64"/>
  <c r="E65" s="1"/>
  <c r="E69" s="1"/>
  <c r="E72" s="1"/>
  <c r="E73" s="1"/>
  <c r="I64"/>
  <c r="I65" s="1"/>
  <c r="I69" s="1"/>
  <c r="I72" s="1"/>
  <c r="I73" s="1"/>
  <c r="P35"/>
  <c r="P43" s="1"/>
  <c r="J64"/>
  <c r="J65" s="1"/>
  <c r="J69" s="1"/>
  <c r="J72" s="1"/>
  <c r="J73" s="1"/>
  <c r="M64"/>
  <c r="M65" s="1"/>
  <c r="M69" s="1"/>
  <c r="M72" s="1"/>
  <c r="M73" s="1"/>
  <c r="K64"/>
  <c r="K65" s="1"/>
  <c r="K69" s="1"/>
  <c r="K72" s="1"/>
  <c r="K73" s="1"/>
  <c r="D64"/>
  <c r="D65" s="1"/>
  <c r="D69" s="1"/>
  <c r="P59"/>
  <c r="D72" l="1"/>
  <c r="D73" s="1"/>
</calcChain>
</file>

<file path=xl/sharedStrings.xml><?xml version="1.0" encoding="utf-8"?>
<sst xmlns="http://schemas.openxmlformats.org/spreadsheetml/2006/main" count="110" uniqueCount="64">
  <si>
    <t>Total de Percepciones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</si>
  <si>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</si>
  <si>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</si>
  <si>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</si>
  <si>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</si>
  <si>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</si>
  <si>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</si>
  <si>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</si>
  <si>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</si>
  <si>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</si>
  <si>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</si>
  <si>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</si>
  <si>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</si>
  <si>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Subtotal</t>
  </si>
  <si>
    <t>a.Sueldos y Salarios</t>
  </si>
  <si>
    <t>b.Tiempo extraordinario de trabajo</t>
  </si>
  <si>
    <t>c.Premios, primas, bonos, estímulos e incentivos</t>
  </si>
  <si>
    <t>d.Compensaciones</t>
  </si>
  <si>
    <t>e.Gratificaciones y aguinaldos</t>
  </si>
  <si>
    <t>f.Participación patronal al fondo de ahorros</t>
  </si>
  <si>
    <t>g.Primas de Antigüedad</t>
  </si>
  <si>
    <t>h.Participación de los Trabajadores en las Utilidades</t>
  </si>
  <si>
    <t>i.Comisiones</t>
  </si>
  <si>
    <t>j.Administradores, comisarios administración de sociedades o asociaciones</t>
  </si>
  <si>
    <t>k.Servicio de comedor y comida</t>
  </si>
  <si>
    <t>l.Vales de despensa</t>
  </si>
  <si>
    <t>m.Servicio de transporte</t>
  </si>
  <si>
    <t>n.Primas de seguros</t>
  </si>
  <si>
    <t>o. Servicios que presten a un prestatario, asimilados a salarios</t>
  </si>
  <si>
    <t>p.Otras erogaciones por trabajo personal subordinado</t>
  </si>
  <si>
    <t>Percepciones Exentas</t>
  </si>
  <si>
    <t>aa.Participación de Utilidades</t>
  </si>
  <si>
    <t>bb.Indemnizaciones riezgos o enfermedades</t>
  </si>
  <si>
    <t>cc. Pensiones y jubilaiciones por vejez, cesantia y muerte</t>
  </si>
  <si>
    <t>dd.Indemnización por recisión o terminación</t>
  </si>
  <si>
    <t>ee. Primas de Antigüedad</t>
  </si>
  <si>
    <t>ff.Gastos Funerarios</t>
  </si>
  <si>
    <t>gg.Gastos de Representación y viáticos</t>
  </si>
  <si>
    <t>hh.Aportaciones de Seguridad Social</t>
  </si>
  <si>
    <t>ii.Ahorro y cantidades otorgadas para fines sociales y sindicales</t>
  </si>
  <si>
    <t>jj.Alimentación y habitación</t>
  </si>
  <si>
    <t>kk.Despensas en especie</t>
  </si>
  <si>
    <t>Información Anual de Sueldos, Salarios, Conceptos Asimilados</t>
  </si>
  <si>
    <t>A. Base del Impuesto</t>
  </si>
  <si>
    <t>B. Imp. Remuneraciones al Trabajo Personal Subordinado</t>
  </si>
  <si>
    <t>C. Compensación de saldo a favor</t>
  </si>
  <si>
    <t>D. Fecha de la Declaración en la que se genera saldo a favor</t>
  </si>
  <si>
    <t>E. Impuesto Subsidiado</t>
  </si>
  <si>
    <t>F. Impuesto Pagado</t>
  </si>
  <si>
    <t>G. Fecha de Pago</t>
  </si>
  <si>
    <t>NOMBRE DE CONTRIBUYENTE:</t>
  </si>
  <si>
    <t>R.F.C.:</t>
  </si>
  <si>
    <t>CUENTA ESTATAL:</t>
  </si>
  <si>
    <t xml:space="preserve">   Impuesto determinado</t>
  </si>
  <si>
    <t xml:space="preserve">   Diferencia por aclarar</t>
  </si>
  <si>
    <t>Otras</t>
  </si>
  <si>
    <t>ANALISIS DE REMUNERACIONES ANUALES BASE PARA IMPUESTO ESTATAL (TAMAULIPAS)</t>
  </si>
  <si>
    <t>Numero de empleados</t>
  </si>
  <si>
    <t>Numero cuenta / Sucursal</t>
  </si>
  <si>
    <t>Pago Mes</t>
  </si>
  <si>
    <t>IMSS WH</t>
  </si>
  <si>
    <t>IMSS AC</t>
  </si>
  <si>
    <t>IMSS Total</t>
  </si>
  <si>
    <t>Subsidiados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</si>
</sst>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dd/mm/yy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333333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4" fillId="0" borderId="0" xfId="0" applyFont="1" applyBorder="1"/>
    <xf numFmtId="0" fontId="2" fillId="0" borderId="0" xfId="0" applyFont="1" applyBorder="1"/>
    <xf numFmtId="0" fontId="2" fillId="0" borderId="0" xfId="0" applyFont="1" applyBorder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7" fontId="2" fillId="0" borderId="1" xfId="1" applyNumberFormat="1" applyFont="1" applyBorder="1" applyAlignment="1" applyProtection="1">
      <alignment horizontal="center"/>
      <protection locked="0"/>
    </xf>
    <xf numFmtId="37" fontId="6" fillId="0" borderId="0" xfId="1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39" fontId="2" fillId="0" borderId="1" xfId="1" applyNumberFormat="1" applyFont="1" applyBorder="1" applyProtection="1">
      <protection locked="0"/>
    </xf>
    <xf numFmtId="39" fontId="4" fillId="5" borderId="1" xfId="1" applyNumberFormat="1" applyFont="1" applyFill="1" applyBorder="1"/>
    <xf numFmtId="0" fontId="7" fillId="5" borderId="1" xfId="0" applyFont="1" applyFill="1" applyBorder="1" applyAlignment="1">
      <alignment vertical="center" wrapText="1"/>
    </xf>
    <xf numFmtId="39" fontId="2" fillId="5" borderId="1" xfId="1" applyNumberFormat="1" applyFont="1" applyFill="1" applyBorder="1"/>
    <xf numFmtId="0" fontId="7" fillId="0" borderId="1" xfId="0" applyFont="1" applyBorder="1" applyAlignment="1" applyProtection="1">
      <alignment vertical="center" wrapText="1"/>
      <protection locked="0"/>
    </xf>
    <xf numFmtId="0" fontId="5" fillId="5" borderId="1" xfId="0" applyFont="1" applyFill="1" applyBorder="1" applyAlignment="1">
      <alignment vertical="center" wrapText="1"/>
    </xf>
    <xf numFmtId="4" fontId="2" fillId="0" borderId="1" xfId="0" applyNumberFormat="1" applyFont="1" applyBorder="1" applyProtection="1">
      <protection locked="0"/>
    </xf>
    <xf numFmtId="4" fontId="4" fillId="5" borderId="1" xfId="0" applyNumberFormat="1" applyFont="1" applyFill="1" applyBorder="1"/>
    <xf numFmtId="4" fontId="5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2" fillId="5" borderId="1" xfId="0" applyNumberFormat="1" applyFont="1" applyFill="1" applyBorder="1"/>
    <xf numFmtId="4" fontId="7" fillId="5" borderId="1" xfId="0" applyNumberFormat="1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0" fontId="2" fillId="0" borderId="11" xfId="0" applyFont="1" applyBorder="1"/>
    <xf numFmtId="0" fontId="2" fillId="0" borderId="12" xfId="0" applyFont="1" applyBorder="1"/>
    <xf numFmtId="0" fontId="8" fillId="0" borderId="12" xfId="0" applyFont="1" applyBorder="1" applyAlignment="1">
      <alignment horizontal="center" wrapText="1"/>
    </xf>
    <xf numFmtId="0" fontId="2" fillId="0" borderId="13" xfId="0" applyFont="1" applyBorder="1"/>
    <xf numFmtId="0" fontId="3" fillId="6" borderId="1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2" fillId="4" borderId="5" xfId="0" applyFont="1" applyFill="1" applyBorder="1" applyAlignment="1" applyProtection="1">
      <alignment horizontal="left"/>
      <protection locked="0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73"/>
  <sheetViews>
    <sheetView showGridLines="0" tabSelected="1" topLeftCell="D1" workbookViewId="0">
      <selection activeCell="D5" sqref="D5:P5"/>
    </sheetView>
  </sheetViews>
  <sheetFormatPr defaultColWidth="11.42578125" defaultRowHeight="11.25"/>
  <cols>
    <col min="1" max="1" width="3.140625" style="1" customWidth="1"/>
    <col min="2" max="2" width="2.85546875" style="1" customWidth="1"/>
    <col min="3" max="3" width="33.28515625" style="1" customWidth="1"/>
    <col min="4" max="11" width="11" style="1" customWidth="1"/>
    <col min="12" max="12" width="12.85546875" style="1" customWidth="1"/>
    <col min="13" max="15" width="11" style="1" customWidth="1"/>
    <col min="16" max="16" width="14.42578125" style="1" customWidth="1"/>
    <col min="17" max="17" width="2.5703125" style="1" customWidth="1"/>
    <col min="18" max="16384" width="11.42578125" style="1"/>
  </cols>
  <sheetData>
    <row r="1" spans="2:17" ht="12" thickBot="1"/>
    <row r="2" spans="2:17" ht="12" thickBo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17" ht="24.75" customHeight="1" thickBot="1">
      <c r="B3" s="5"/>
      <c r="C3" s="38" t="s">
        <v>56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40"/>
      <c r="Q3" s="6"/>
    </row>
    <row r="4" spans="2:17">
      <c r="B4" s="5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6"/>
    </row>
    <row r="5" spans="2:17">
      <c r="B5" s="5"/>
      <c r="C5" s="7" t="s">
        <v>50</v>
      </c>
      <c r="D5" s="44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  <c r="Q5" s="6"/>
    </row>
    <row r="6" spans="2:17">
      <c r="B6" s="5"/>
      <c r="C6" s="7" t="s">
        <v>51</v>
      </c>
      <c r="D6" s="44"/>
      <c r="E6" s="46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6"/>
    </row>
    <row r="7" spans="2:17">
      <c r="B7" s="5"/>
      <c r="C7" s="7" t="s">
        <v>52</v>
      </c>
      <c r="D7" s="44"/>
      <c r="E7" s="46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6"/>
    </row>
    <row r="8" spans="2:17">
      <c r="B8" s="5"/>
      <c r="C8" s="7"/>
      <c r="D8" s="10"/>
      <c r="E8" s="10"/>
      <c r="F8" s="11"/>
      <c r="G8" s="9"/>
      <c r="H8" s="9"/>
      <c r="I8" s="9"/>
      <c r="J8" s="9"/>
      <c r="K8" s="9"/>
      <c r="L8" s="9"/>
      <c r="M8" s="9"/>
      <c r="N8" s="9"/>
      <c r="O8" s="9"/>
      <c r="P8" s="9"/>
      <c r="Q8" s="6"/>
    </row>
    <row r="9" spans="2:17">
      <c r="B9" s="5"/>
      <c r="C9" s="42" t="s">
        <v>57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8"/>
      <c r="P9" s="12"/>
      <c r="Q9" s="6"/>
    </row>
    <row r="10" spans="2:17">
      <c r="B10" s="5"/>
      <c r="C10" s="13" t="s">
        <v>58</v>
      </c>
      <c r="D10" s="13" t="s">
        <v>1</v>
      </c>
      <c r="E10" s="13" t="s">
        <v>2</v>
      </c>
      <c r="F10" s="13" t="s">
        <v>3</v>
      </c>
      <c r="G10" s="13" t="s">
        <v>4</v>
      </c>
      <c r="H10" s="13" t="s">
        <v>5</v>
      </c>
      <c r="I10" s="13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11</v>
      </c>
      <c r="O10" s="13" t="s">
        <v>12</v>
      </c>
      <c r="P10" s="14"/>
      <c r="Q10" s="6"/>
    </row>
    <row r="11" spans="2:17">
      <c r="B11" s="5"/>
      <c r="C11" s="15" t="s">
        <v>60</v>
      </c>
      <c r="D11" s="16">
        <v>1250</v>
      </c>
      <c r="E11" s="16">
        <v>1212</v>
      </c>
      <c r="F11" s="16">
        <v>1211</v>
      </c>
      <c r="G11" s="16">
        <v>1218</v>
      </c>
      <c r="H11" s="16">
        <v>1235</v>
      </c>
      <c r="I11" s="16">
        <v>1231</v>
      </c>
      <c r="J11" s="16">
        <v>1222</v>
      </c>
      <c r="K11" s="16">
        <v>1214</v>
      </c>
      <c r="L11" s="16">
        <v>1205</v>
      </c>
      <c r="M11" s="16">
        <v>1208</v>
      </c>
      <c r="N11" s="16">
        <v>1216</v>
      </c>
      <c r="O11" s="16">
        <v>1218</v>
      </c>
      <c r="P11" s="17"/>
      <c r="Q11" s="6"/>
    </row>
    <row r="12" spans="2:17">
      <c r="B12" s="5"/>
      <c r="C12" s="15" t="s">
        <v>61</v>
      </c>
      <c r="D12" s="16">
        <v>1452</v>
      </c>
      <c r="E12" s="16">
        <v>1431</v>
      </c>
      <c r="F12" s="16">
        <v>1404</v>
      </c>
      <c r="G12" s="16">
        <v>1427</v>
      </c>
      <c r="H12" s="16">
        <v>1471</v>
      </c>
      <c r="I12" s="16">
        <v>1407</v>
      </c>
      <c r="J12" s="16">
        <v>1341</v>
      </c>
      <c r="K12" s="16">
        <v>1016</v>
      </c>
      <c r="L12" s="16">
        <v>987</v>
      </c>
      <c r="M12" s="16">
        <v>912</v>
      </c>
      <c r="N12" s="16">
        <v>925</v>
      </c>
      <c r="O12" s="16">
        <v>1088</v>
      </c>
      <c r="P12" s="17"/>
      <c r="Q12" s="6"/>
    </row>
    <row r="13" spans="2:17">
      <c r="B13" s="5"/>
      <c r="C13" s="15" t="s">
        <v>62</v>
      </c>
      <c r="D13" s="16">
        <f>D11+D12</f>
        <v>2702</v>
      </c>
      <c r="E13" s="16">
        <f t="shared" ref="E13:O13" si="0">E11+E12</f>
        <v>2643</v>
      </c>
      <c r="F13" s="16">
        <f t="shared" si="0"/>
        <v>2615</v>
      </c>
      <c r="G13" s="16">
        <f t="shared" si="0"/>
        <v>2645</v>
      </c>
      <c r="H13" s="16">
        <f t="shared" si="0"/>
        <v>2706</v>
      </c>
      <c r="I13" s="16">
        <f t="shared" si="0"/>
        <v>2638</v>
      </c>
      <c r="J13" s="16">
        <f t="shared" si="0"/>
        <v>2563</v>
      </c>
      <c r="K13" s="16">
        <f t="shared" si="0"/>
        <v>2230</v>
      </c>
      <c r="L13" s="16">
        <f t="shared" si="0"/>
        <v>2192</v>
      </c>
      <c r="M13" s="16">
        <f t="shared" si="0"/>
        <v>2120</v>
      </c>
      <c r="N13" s="16">
        <f t="shared" si="0"/>
        <v>2141</v>
      </c>
      <c r="O13" s="16">
        <f t="shared" si="0"/>
        <v>2306</v>
      </c>
      <c r="P13" s="17"/>
      <c r="Q13" s="6"/>
    </row>
    <row r="14" spans="2:17">
      <c r="B14" s="5"/>
      <c r="C14" s="15" t="s">
        <v>59</v>
      </c>
      <c r="D14" s="16">
        <v>1270</v>
      </c>
      <c r="E14" s="16">
        <v>1271</v>
      </c>
      <c r="F14" s="16">
        <v>1268</v>
      </c>
      <c r="G14" s="16">
        <v>1271</v>
      </c>
      <c r="H14" s="16">
        <v>1261</v>
      </c>
      <c r="I14" s="16">
        <v>1275</v>
      </c>
      <c r="J14" s="16">
        <v>1238</v>
      </c>
      <c r="K14" s="16">
        <v>1241</v>
      </c>
      <c r="L14" s="16">
        <v>1232</v>
      </c>
      <c r="M14" s="16">
        <v>1228</v>
      </c>
      <c r="N14" s="16">
        <v>1252</v>
      </c>
      <c r="O14" s="16">
        <v>1252</v>
      </c>
      <c r="P14" s="17"/>
      <c r="Q14" s="6"/>
    </row>
    <row r="15" spans="2:17">
      <c r="B15" s="5"/>
      <c r="C15" s="15" t="s">
        <v>63</v>
      </c>
      <c r="D15" s="16">
        <f>D13-D14</f>
        <v>1432</v>
      </c>
      <c r="E15" s="16">
        <f t="shared" ref="E15:O15" si="1">E13-E14</f>
        <v>1372</v>
      </c>
      <c r="F15" s="16">
        <f t="shared" si="1"/>
        <v>1347</v>
      </c>
      <c r="G15" s="16">
        <f t="shared" si="1"/>
        <v>1374</v>
      </c>
      <c r="H15" s="16">
        <f t="shared" si="1"/>
        <v>1445</v>
      </c>
      <c r="I15" s="16">
        <f t="shared" si="1"/>
        <v>1363</v>
      </c>
      <c r="J15" s="16">
        <f t="shared" si="1"/>
        <v>1325</v>
      </c>
      <c r="K15" s="16">
        <f t="shared" si="1"/>
        <v>989</v>
      </c>
      <c r="L15" s="16">
        <f t="shared" si="1"/>
        <v>960</v>
      </c>
      <c r="M15" s="16">
        <f t="shared" si="1"/>
        <v>892</v>
      </c>
      <c r="N15" s="16">
        <f t="shared" si="1"/>
        <v>889</v>
      </c>
      <c r="O15" s="16">
        <f t="shared" si="1"/>
        <v>1054</v>
      </c>
      <c r="P15" s="17"/>
      <c r="Q15" s="6"/>
    </row>
    <row r="16" spans="2:17">
      <c r="B16" s="5"/>
      <c r="C16" s="7"/>
      <c r="D16" s="10"/>
      <c r="E16" s="10"/>
      <c r="F16" s="11"/>
      <c r="G16" s="9"/>
      <c r="H16" s="9"/>
      <c r="I16" s="9"/>
      <c r="J16" s="9"/>
      <c r="K16" s="9"/>
      <c r="L16" s="9"/>
      <c r="M16" s="9"/>
      <c r="N16" s="9"/>
      <c r="O16" s="9"/>
      <c r="P16" s="9"/>
      <c r="Q16" s="6"/>
    </row>
    <row r="17" spans="2:17"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6"/>
    </row>
    <row r="18" spans="2:17">
      <c r="B18" s="5"/>
      <c r="C18" s="41" t="s"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/>
      <c r="Q18" s="6"/>
    </row>
    <row r="19" spans="2:17">
      <c r="B19" s="5"/>
      <c r="C19" s="13"/>
      <c r="D19" s="13" t="s">
        <v>1</v>
      </c>
      <c r="E19" s="13" t="s">
        <v>2</v>
      </c>
      <c r="F19" s="13" t="s">
        <v>3</v>
      </c>
      <c r="G19" s="13" t="s">
        <v>4</v>
      </c>
      <c r="H19" s="13" t="s">
        <v>5</v>
      </c>
      <c r="I19" s="13" t="s">
        <v>6</v>
      </c>
      <c r="J19" s="13" t="s">
        <v>7</v>
      </c>
      <c r="K19" s="13" t="s">
        <v>8</v>
      </c>
      <c r="L19" s="13" t="s">
        <v>9</v>
      </c>
      <c r="M19" s="13" t="s">
        <v>10</v>
      </c>
      <c r="N19" s="13" t="s">
        <v>11</v>
      </c>
      <c r="O19" s="13" t="s">
        <v>12</v>
      </c>
      <c r="P19" s="18" t="s">
        <v>13</v>
      </c>
      <c r="Q19" s="6"/>
    </row>
    <row r="20" spans="2:17">
      <c r="B20" s="5"/>
      <c r="C20" s="15" t="s">
        <v>14</v>
      </c>
      <c r="D20" s="19">
        <f>19282246.53+653049.26+338819.75+54805.05+7452.56+35121.85+9193.87+33321.95</f>
        <v>20414010.820000004</v>
      </c>
      <c r="E20" s="19">
        <f>19950845.92+1075941.88+311463.63+2335.65+110666.05+11507.42+14823.86+40845.88</f>
        <v>21518430.289999999</v>
      </c>
      <c r="F20" s="19">
        <f>26081609.79+6504.64+810655.07+12351.91+24616.54+18488.86+134961.57</f>
        <v>27089188.379999999</v>
      </c>
      <c r="G20" s="19">
        <f>18552336.34+2139698.87+503263.05+19288.21+27094.45+21545.87+3745.56+263218.62</f>
        <v>21530190.970000003</v>
      </c>
      <c r="H20" s="19">
        <f>24605523.12+1722505.32+459949.27+10081.79+1910.14+21558.2+29809.39+321487.22</f>
        <v>27172824.449999999</v>
      </c>
      <c r="I20" s="19">
        <f>20889768.98+112794.74+607849.38+702206.11+1071.07+12530.67+7490.78+242560.93</f>
        <v>22576272.66</v>
      </c>
      <c r="J20" s="19">
        <f>18660951.26+8745.56+5585261.98+4416.83+4294.17+9984.16+12421.88+195566.24</f>
        <v>24481642.079999998</v>
      </c>
      <c r="K20" s="19">
        <f>21591271.14+17759.79+581650.23+83941.3+558820.5+17272.74+12008.84+262909.27</f>
        <v>23125633.809999999</v>
      </c>
      <c r="L20" s="19">
        <f>18863902.02+1026700.02+541454.59+6926.89+3824.34+21059.75+23147.67+136253.61</f>
        <v>20623268.890000001</v>
      </c>
      <c r="M20" s="19">
        <f>19867251.68+5362.22+425659.78+15718+24932.33+12212.34+173626.34</f>
        <v>20524762.689999998</v>
      </c>
      <c r="N20" s="19">
        <f>23145190.31+1752783.56+729457.45+2675.24+6999.26+14983.71+14114.57+245937.39</f>
        <v>25912141.489999998</v>
      </c>
      <c r="O20" s="19">
        <f>17390879.71+1712072.17+2191043.53+104370.99+10335.13+13485.95+149500.62</f>
        <v>21571688.100000001</v>
      </c>
      <c r="P20" s="20">
        <f>SUM(D20:O20)</f>
        <v>276540054.63</v>
      </c>
      <c r="Q20" s="6"/>
    </row>
    <row r="21" spans="2:17">
      <c r="B21" s="5"/>
      <c r="C21" s="15" t="s">
        <v>15</v>
      </c>
      <c r="D21" s="19">
        <f>1226736.02+334850.73+4667.68+9237.85</f>
        <v>1575492.28</v>
      </c>
      <c r="E21" s="19">
        <f>1047319.14+145835.73+1206.38+2824.57</f>
        <v>1197185.82</v>
      </c>
      <c r="F21" s="19">
        <f>277873.08+15481.56+1561.98</f>
        <v>294916.62</v>
      </c>
      <c r="G21" s="19">
        <f>2076375.48+1421630.42+7113.34+7526.28</f>
        <v>3512645.5199999996</v>
      </c>
      <c r="H21" s="19">
        <f>4304327.91+3643730.46+3146.73+34356.59</f>
        <v>7985561.6900000004</v>
      </c>
      <c r="I21" s="19">
        <f>2580684.52+1893806.81+92.44+7013.52</f>
        <v>4481597.29</v>
      </c>
      <c r="J21" s="19">
        <f>1180962.42+954447.83+3527.14+2041.12</f>
        <v>2140978.5100000002</v>
      </c>
      <c r="K21" s="19">
        <f>1697414.3+1270658.2+3842.71+14002.32</f>
        <v>2985917.53</v>
      </c>
      <c r="L21" s="19">
        <f>280311.45+37359.54+1681.18+331.38</f>
        <v>319683.55</v>
      </c>
      <c r="M21" s="19">
        <f>780803.58+418795.64+4242.65+3777.05</f>
        <v>1207618.92</v>
      </c>
      <c r="N21" s="19">
        <f>4429971.84+5580884.1+14689.56+10437.49</f>
        <v>10035982.99</v>
      </c>
      <c r="O21" s="19">
        <f>3353552.72+3125408.56+12746.5+18881.31</f>
        <v>6510589.0899999999</v>
      </c>
      <c r="P21" s="20">
        <f t="shared" ref="P21:P42" si="2">SUM(D21:O21)</f>
        <v>42248169.810000002</v>
      </c>
      <c r="Q21" s="6"/>
    </row>
    <row r="22" spans="2:17" ht="22.5">
      <c r="B22" s="5"/>
      <c r="C22" s="15" t="s">
        <v>16</v>
      </c>
      <c r="D22" s="19">
        <f>59726.48+205164.79+31590+235401.42</f>
        <v>531882.69000000006</v>
      </c>
      <c r="E22" s="19">
        <f>186425.07+48537.97+35370+527424.14</f>
        <v>797757.18</v>
      </c>
      <c r="F22" s="19">
        <f>414106.66+62118.9+34560+231971.42</f>
        <v>742756.98</v>
      </c>
      <c r="G22" s="19">
        <f>47635.77+273179.95+31050+235401.42</f>
        <v>587267.14</v>
      </c>
      <c r="H22" s="19">
        <f>242579.15+84205.64+33480+248634.28</f>
        <v>608899.06999999995</v>
      </c>
      <c r="I22" s="19">
        <f>259363.02+61917.81+32400+238914.28</f>
        <v>592595.11</v>
      </c>
      <c r="J22" s="19">
        <f>3661474.01+49729.77+35910+228736.42</f>
        <v>3975850.1999999997</v>
      </c>
      <c r="K22" s="19">
        <f>265305.53+55884.38+33210+244447.14</f>
        <v>598847.05000000005</v>
      </c>
      <c r="L22" s="19">
        <f>247635.03+48468.13+33210+233012.86</f>
        <v>562326.02</v>
      </c>
      <c r="M22" s="19">
        <f>212489.53+52782.28+33750+232327.14</f>
        <v>531348.94999999995</v>
      </c>
      <c r="N22" s="19">
        <f>340235.68+94942.19+34020+227165</f>
        <v>696362.87</v>
      </c>
      <c r="O22" s="19">
        <f>898492.17+61907.85+34560+225024.28</f>
        <v>1219984.3</v>
      </c>
      <c r="P22" s="20">
        <f t="shared" si="2"/>
        <v>11445877.559999999</v>
      </c>
      <c r="Q22" s="6"/>
    </row>
    <row r="23" spans="2:17">
      <c r="B23" s="5"/>
      <c r="C23" s="15" t="s">
        <v>17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/>
      <c r="O23" s="19"/>
      <c r="P23" s="20">
        <f t="shared" si="2"/>
        <v>0</v>
      </c>
      <c r="Q23" s="6"/>
    </row>
    <row r="24" spans="2:17">
      <c r="B24" s="5"/>
      <c r="C24" s="15" t="s">
        <v>18</v>
      </c>
      <c r="D24" s="19">
        <v>4466.49</v>
      </c>
      <c r="E24" s="19">
        <v>13988.79</v>
      </c>
      <c r="F24" s="19">
        <v>41383.269999999997</v>
      </c>
      <c r="G24" s="19">
        <v>47794.2</v>
      </c>
      <c r="H24" s="19">
        <v>49763.06</v>
      </c>
      <c r="I24" s="19">
        <v>231925.77</v>
      </c>
      <c r="J24" s="19">
        <v>54891.43</v>
      </c>
      <c r="K24" s="19">
        <v>186168.26</v>
      </c>
      <c r="L24" s="19">
        <v>125468.44</v>
      </c>
      <c r="M24" s="19">
        <v>106182.64</v>
      </c>
      <c r="N24" s="19">
        <v>25462.400000000001</v>
      </c>
      <c r="O24" s="19">
        <v>20714809.059999999</v>
      </c>
      <c r="P24" s="20">
        <f t="shared" si="2"/>
        <v>21602303.809999999</v>
      </c>
      <c r="Q24" s="6"/>
    </row>
    <row r="25" spans="2:17">
      <c r="B25" s="5"/>
      <c r="C25" s="15" t="s">
        <v>19</v>
      </c>
      <c r="D25" s="19">
        <v>2247404.4900000002</v>
      </c>
      <c r="E25" s="19">
        <v>2347518.75</v>
      </c>
      <c r="F25" s="19">
        <v>3018870.8</v>
      </c>
      <c r="G25" s="19">
        <v>2367586.14</v>
      </c>
      <c r="H25" s="19">
        <v>2979154.67</v>
      </c>
      <c r="I25" s="19">
        <v>2443618.96</v>
      </c>
      <c r="J25" s="19">
        <v>2833674.78</v>
      </c>
      <c r="K25" s="19">
        <v>2573713.3199999998</v>
      </c>
      <c r="L25" s="19">
        <v>2364130.44</v>
      </c>
      <c r="M25" s="19">
        <v>2365119.0099999998</v>
      </c>
      <c r="N25" s="19">
        <v>2954252.34</v>
      </c>
      <c r="O25" s="19">
        <v>2436891.35</v>
      </c>
      <c r="P25" s="20">
        <f t="shared" si="2"/>
        <v>30931935.050000001</v>
      </c>
      <c r="Q25" s="6"/>
    </row>
    <row r="26" spans="2:17">
      <c r="B26" s="5"/>
      <c r="C26" s="15" t="s">
        <v>20</v>
      </c>
      <c r="D26" s="19">
        <f>74520.41+106243.2+12685.4</f>
        <v>193449.00999999998</v>
      </c>
      <c r="E26" s="19">
        <f>112973.1+143084.7+12311.43</f>
        <v>268369.23000000004</v>
      </c>
      <c r="F26" s="19">
        <f>105058.01+189526.5+15870.33</f>
        <v>310454.84000000003</v>
      </c>
      <c r="G26" s="19">
        <v>20000</v>
      </c>
      <c r="H26" s="19">
        <f>71971.93+49610.7+19446.96</f>
        <v>141029.59</v>
      </c>
      <c r="I26" s="19">
        <f>69953.53+100462.5+12307.9</f>
        <v>182723.93</v>
      </c>
      <c r="J26" s="19">
        <f>22899.79+36413.1+4233.45</f>
        <v>63546.34</v>
      </c>
      <c r="K26" s="19">
        <f>295759.11+242701.2+23171.8</f>
        <v>561632.1100000001</v>
      </c>
      <c r="L26" s="19">
        <f>32910.24+20000</f>
        <v>52910.239999999998</v>
      </c>
      <c r="M26" s="19">
        <f>86429.92+60339.6+89996.1</f>
        <v>236765.62</v>
      </c>
      <c r="N26" s="19">
        <v>0</v>
      </c>
      <c r="O26" s="19">
        <f>281500.64+110136.2+65776.62</f>
        <v>457413.46</v>
      </c>
      <c r="P26" s="20">
        <f t="shared" si="2"/>
        <v>2488294.37</v>
      </c>
      <c r="Q26" s="6"/>
    </row>
    <row r="27" spans="2:17" ht="22.5">
      <c r="B27" s="5"/>
      <c r="C27" s="15" t="s">
        <v>21</v>
      </c>
      <c r="D27" s="19">
        <v>0</v>
      </c>
      <c r="E27" s="19">
        <v>0</v>
      </c>
      <c r="F27" s="19">
        <v>0</v>
      </c>
      <c r="G27" s="19">
        <v>0</v>
      </c>
      <c r="H27" s="19">
        <f>3615504.19+14005753.55</f>
        <v>17621257.740000002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20">
        <f t="shared" si="2"/>
        <v>17621257.740000002</v>
      </c>
      <c r="Q27" s="6"/>
    </row>
    <row r="28" spans="2:17">
      <c r="B28" s="5"/>
      <c r="C28" s="15" t="s">
        <v>22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20">
        <f t="shared" si="2"/>
        <v>0</v>
      </c>
      <c r="Q28" s="6"/>
    </row>
    <row r="29" spans="2:17" ht="22.5">
      <c r="B29" s="5"/>
      <c r="C29" s="15" t="s">
        <v>23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/>
      <c r="L29" s="19">
        <v>0</v>
      </c>
      <c r="M29" s="19">
        <v>0</v>
      </c>
      <c r="N29" s="19">
        <v>0</v>
      </c>
      <c r="O29" s="19">
        <v>0</v>
      </c>
      <c r="P29" s="20">
        <f t="shared" si="2"/>
        <v>0</v>
      </c>
      <c r="Q29" s="6"/>
    </row>
    <row r="30" spans="2:17">
      <c r="B30" s="5"/>
      <c r="C30" s="15" t="s">
        <v>24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/>
      <c r="J30" s="19"/>
      <c r="K30" s="19"/>
      <c r="L30" s="19"/>
      <c r="M30" s="19"/>
      <c r="N30" s="19"/>
      <c r="O30" s="19"/>
      <c r="P30" s="20">
        <f t="shared" si="2"/>
        <v>0</v>
      </c>
      <c r="Q30" s="6"/>
    </row>
    <row r="31" spans="2:17">
      <c r="B31" s="5"/>
      <c r="C31" s="15" t="s">
        <v>25</v>
      </c>
      <c r="D31" s="19">
        <f>1730909+588251+306481+142700</f>
        <v>2768341</v>
      </c>
      <c r="E31" s="19">
        <f>1765608+687729+359971+141150</f>
        <v>2954458</v>
      </c>
      <c r="F31" s="19">
        <f>2260292+929157+384792+139950</f>
        <v>3714191</v>
      </c>
      <c r="G31" s="19">
        <f>1804979+729428+377918+135090</f>
        <v>3047415</v>
      </c>
      <c r="H31" s="19">
        <f>2258029+911885+380767+135290</f>
        <v>3685971</v>
      </c>
      <c r="I31" s="19">
        <f>1821002+801126+415099+135090</f>
        <v>3172317</v>
      </c>
      <c r="J31" s="19">
        <f>2524259+810631+345390+140530</f>
        <v>3820810</v>
      </c>
      <c r="K31" s="19">
        <f>1644315+693412+345657+140400</f>
        <v>2823784</v>
      </c>
      <c r="L31" s="19">
        <f>1873402+637016+330511+139800</f>
        <v>2980729</v>
      </c>
      <c r="M31" s="19">
        <f>1894712+630409+325696+140300</f>
        <v>2991117</v>
      </c>
      <c r="N31" s="19">
        <f>2377470+788019+325706+142000</f>
        <v>3633195</v>
      </c>
      <c r="O31" s="19">
        <f>1933288+639876+327563+142100</f>
        <v>3042827</v>
      </c>
      <c r="P31" s="20">
        <f t="shared" si="2"/>
        <v>38635155</v>
      </c>
      <c r="Q31" s="6"/>
    </row>
    <row r="32" spans="2:17">
      <c r="B32" s="5"/>
      <c r="C32" s="15" t="s">
        <v>26</v>
      </c>
      <c r="D32" s="19">
        <v>309630</v>
      </c>
      <c r="E32" s="19">
        <v>314750</v>
      </c>
      <c r="F32" s="19">
        <v>390300</v>
      </c>
      <c r="G32" s="19">
        <v>314230</v>
      </c>
      <c r="H32" s="19">
        <v>391270</v>
      </c>
      <c r="I32" s="19">
        <v>314550</v>
      </c>
      <c r="J32" s="19">
        <v>278650</v>
      </c>
      <c r="K32" s="19">
        <v>288480</v>
      </c>
      <c r="L32" s="19">
        <v>306520</v>
      </c>
      <c r="M32" s="19">
        <v>303480</v>
      </c>
      <c r="N32" s="19">
        <v>381590</v>
      </c>
      <c r="O32" s="19">
        <v>308560</v>
      </c>
      <c r="P32" s="20">
        <f t="shared" si="2"/>
        <v>3902010</v>
      </c>
      <c r="Q32" s="6"/>
    </row>
    <row r="33" spans="2:17">
      <c r="B33" s="5"/>
      <c r="C33" s="15" t="s">
        <v>27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/>
      <c r="L33" s="19">
        <v>0</v>
      </c>
      <c r="M33" s="19">
        <v>0</v>
      </c>
      <c r="N33" s="19">
        <v>0</v>
      </c>
      <c r="O33" s="19">
        <v>0</v>
      </c>
      <c r="P33" s="20">
        <f t="shared" si="2"/>
        <v>0</v>
      </c>
      <c r="Q33" s="6"/>
    </row>
    <row r="34" spans="2:17" ht="22.5">
      <c r="B34" s="5"/>
      <c r="C34" s="15" t="s">
        <v>28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/>
      <c r="L34" s="19">
        <v>0</v>
      </c>
      <c r="M34" s="19">
        <v>0</v>
      </c>
      <c r="N34" s="19">
        <v>0</v>
      </c>
      <c r="O34" s="19">
        <v>0</v>
      </c>
      <c r="P34" s="20">
        <f t="shared" si="2"/>
        <v>0</v>
      </c>
      <c r="Q34" s="6"/>
    </row>
    <row r="35" spans="2:17" ht="22.5">
      <c r="B35" s="5"/>
      <c r="C35" s="21" t="s">
        <v>29</v>
      </c>
      <c r="D35" s="22">
        <v>18421.8</v>
      </c>
      <c r="E35" s="22">
        <v>32465.3</v>
      </c>
      <c r="F35" s="22">
        <f t="shared" ref="F35:M35" si="3">SUM(F36:F42)</f>
        <v>0</v>
      </c>
      <c r="G35" s="22">
        <v>68330.080000000002</v>
      </c>
      <c r="H35" s="22">
        <v>57379.03</v>
      </c>
      <c r="I35" s="22">
        <v>138409.06</v>
      </c>
      <c r="J35" s="22">
        <v>2886.61</v>
      </c>
      <c r="K35" s="22">
        <f t="shared" si="3"/>
        <v>0</v>
      </c>
      <c r="L35" s="22">
        <v>23728.18</v>
      </c>
      <c r="M35" s="22">
        <f t="shared" si="3"/>
        <v>0</v>
      </c>
      <c r="N35" s="22">
        <v>1656854.45</v>
      </c>
      <c r="O35" s="22">
        <v>344648.78</v>
      </c>
      <c r="P35" s="20">
        <f t="shared" si="2"/>
        <v>2343123.29</v>
      </c>
      <c r="Q35" s="6"/>
    </row>
    <row r="36" spans="2:17">
      <c r="B36" s="5"/>
      <c r="C36" s="23" t="s">
        <v>55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0">
        <f t="shared" si="2"/>
        <v>0</v>
      </c>
      <c r="Q36" s="6"/>
    </row>
    <row r="37" spans="2:17">
      <c r="B37" s="5"/>
      <c r="C37" s="23" t="s">
        <v>55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0">
        <f t="shared" si="2"/>
        <v>0</v>
      </c>
      <c r="Q37" s="6"/>
    </row>
    <row r="38" spans="2:17">
      <c r="B38" s="5"/>
      <c r="C38" s="23" t="s">
        <v>55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20">
        <f t="shared" si="2"/>
        <v>0</v>
      </c>
      <c r="Q38" s="6"/>
    </row>
    <row r="39" spans="2:17">
      <c r="B39" s="5"/>
      <c r="C39" s="23" t="s">
        <v>55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20">
        <f t="shared" si="2"/>
        <v>0</v>
      </c>
      <c r="Q39" s="6"/>
    </row>
    <row r="40" spans="2:17">
      <c r="B40" s="5"/>
      <c r="C40" s="23" t="s">
        <v>55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20">
        <f t="shared" si="2"/>
        <v>0</v>
      </c>
      <c r="Q40" s="6"/>
    </row>
    <row r="41" spans="2:17">
      <c r="B41" s="5"/>
      <c r="C41" s="23" t="s">
        <v>55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20">
        <f t="shared" si="2"/>
        <v>0</v>
      </c>
      <c r="Q41" s="6"/>
    </row>
    <row r="42" spans="2:17">
      <c r="B42" s="5"/>
      <c r="C42" s="23" t="s">
        <v>55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0">
        <f t="shared" si="2"/>
        <v>0</v>
      </c>
      <c r="Q42" s="6"/>
    </row>
    <row r="43" spans="2:17">
      <c r="B43" s="5"/>
      <c r="C43" s="24" t="s">
        <v>13</v>
      </c>
      <c r="D43" s="20">
        <f>SUM(D20:D35)</f>
        <v>28063098.580000006</v>
      </c>
      <c r="E43" s="20">
        <f t="shared" ref="E43:P43" si="4">SUM(E20:E35)</f>
        <v>29444923.359999999</v>
      </c>
      <c r="F43" s="20">
        <f t="shared" si="4"/>
        <v>35602061.890000001</v>
      </c>
      <c r="G43" s="20">
        <f t="shared" si="4"/>
        <v>31495459.050000001</v>
      </c>
      <c r="H43" s="20">
        <f t="shared" si="4"/>
        <v>60693110.300000012</v>
      </c>
      <c r="I43" s="20">
        <f t="shared" si="4"/>
        <v>34134009.780000001</v>
      </c>
      <c r="J43" s="20">
        <f t="shared" si="4"/>
        <v>37652929.950000003</v>
      </c>
      <c r="K43" s="20">
        <f t="shared" si="4"/>
        <v>33144176.080000002</v>
      </c>
      <c r="L43" s="20">
        <f t="shared" si="4"/>
        <v>27358764.760000002</v>
      </c>
      <c r="M43" s="20">
        <f t="shared" si="4"/>
        <v>28266394.830000002</v>
      </c>
      <c r="N43" s="20">
        <f t="shared" si="4"/>
        <v>45295841.539999992</v>
      </c>
      <c r="O43" s="20">
        <f t="shared" si="4"/>
        <v>56607411.140000001</v>
      </c>
      <c r="P43" s="20">
        <f t="shared" si="4"/>
        <v>447758181.26000005</v>
      </c>
      <c r="Q43" s="6"/>
    </row>
    <row r="44" spans="2:17">
      <c r="B44" s="5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6"/>
    </row>
    <row r="45" spans="2:17">
      <c r="B45" s="5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6"/>
    </row>
    <row r="46" spans="2:17">
      <c r="B46" s="5"/>
      <c r="C46" s="41" t="s">
        <v>30</v>
      </c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2"/>
      <c r="Q46" s="6"/>
    </row>
    <row r="47" spans="2:17">
      <c r="B47" s="5"/>
      <c r="C47" s="13"/>
      <c r="D47" s="13" t="s">
        <v>1</v>
      </c>
      <c r="E47" s="13" t="s">
        <v>2</v>
      </c>
      <c r="F47" s="13" t="s">
        <v>3</v>
      </c>
      <c r="G47" s="13" t="s">
        <v>4</v>
      </c>
      <c r="H47" s="13" t="s">
        <v>5</v>
      </c>
      <c r="I47" s="13" t="s">
        <v>6</v>
      </c>
      <c r="J47" s="13" t="s">
        <v>7</v>
      </c>
      <c r="K47" s="13" t="s">
        <v>8</v>
      </c>
      <c r="L47" s="13" t="s">
        <v>9</v>
      </c>
      <c r="M47" s="13" t="s">
        <v>10</v>
      </c>
      <c r="N47" s="13" t="s">
        <v>11</v>
      </c>
      <c r="O47" s="13" t="s">
        <v>12</v>
      </c>
      <c r="P47" s="13" t="s">
        <v>13</v>
      </c>
      <c r="Q47" s="6"/>
    </row>
    <row r="48" spans="2:17">
      <c r="B48" s="5"/>
      <c r="C48" s="15" t="s">
        <v>31</v>
      </c>
      <c r="D48" s="25">
        <v>0</v>
      </c>
      <c r="E48" s="25">
        <v>0</v>
      </c>
      <c r="F48" s="25">
        <v>0</v>
      </c>
      <c r="G48" s="25">
        <v>0</v>
      </c>
      <c r="H48" s="25">
        <v>14005753.550000001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6">
        <f>SUM(D48:O48)</f>
        <v>14005753.550000001</v>
      </c>
      <c r="Q48" s="6"/>
    </row>
    <row r="49" spans="2:17">
      <c r="B49" s="5"/>
      <c r="C49" s="15" t="s">
        <v>32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6">
        <f t="shared" ref="P49:P58" si="5">SUM(D49:O49)</f>
        <v>0</v>
      </c>
      <c r="Q49" s="6"/>
    </row>
    <row r="50" spans="2:17" ht="22.5">
      <c r="B50" s="5"/>
      <c r="C50" s="15" t="s">
        <v>33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6">
        <f t="shared" si="5"/>
        <v>0</v>
      </c>
      <c r="Q50" s="6"/>
    </row>
    <row r="51" spans="2:17">
      <c r="B51" s="5"/>
      <c r="C51" s="15" t="s">
        <v>34</v>
      </c>
      <c r="D51" s="25">
        <f>74520.41+106243.2</f>
        <v>180763.61</v>
      </c>
      <c r="E51" s="25">
        <f>112973.1+143084.7</f>
        <v>256057.80000000002</v>
      </c>
      <c r="F51" s="25">
        <f>105058.01+189526.5</f>
        <v>294584.51</v>
      </c>
      <c r="G51" s="25">
        <v>20000</v>
      </c>
      <c r="H51" s="25">
        <f>71971.93+49610.7</f>
        <v>121582.62999999999</v>
      </c>
      <c r="I51" s="25">
        <f>69953.53+100462.5</f>
        <v>170416.03</v>
      </c>
      <c r="J51" s="25">
        <f>22899.79+36413.1</f>
        <v>59312.89</v>
      </c>
      <c r="K51" s="25">
        <f>295759.11+242701.2</f>
        <v>538460.31000000006</v>
      </c>
      <c r="L51" s="25">
        <v>20000</v>
      </c>
      <c r="M51" s="25">
        <f>86429.92+60339.6</f>
        <v>146769.51999999999</v>
      </c>
      <c r="N51" s="25">
        <v>0</v>
      </c>
      <c r="O51" s="25">
        <f>281500.64+110136.2</f>
        <v>391636.84</v>
      </c>
      <c r="P51" s="26">
        <f t="shared" si="5"/>
        <v>2199584.14</v>
      </c>
      <c r="Q51" s="6"/>
    </row>
    <row r="52" spans="2:17">
      <c r="B52" s="5"/>
      <c r="C52" s="15" t="s">
        <v>35</v>
      </c>
      <c r="D52" s="25">
        <v>12685.4</v>
      </c>
      <c r="E52" s="25">
        <v>12311.43</v>
      </c>
      <c r="F52" s="25">
        <v>15870.33</v>
      </c>
      <c r="G52" s="25">
        <v>0</v>
      </c>
      <c r="H52" s="25">
        <v>19446.96</v>
      </c>
      <c r="I52" s="25">
        <v>12307.9</v>
      </c>
      <c r="J52" s="25">
        <v>4233.45</v>
      </c>
      <c r="K52" s="25">
        <v>23171.8</v>
      </c>
      <c r="L52" s="25">
        <v>32910.239999999998</v>
      </c>
      <c r="M52" s="25">
        <v>89996.1</v>
      </c>
      <c r="N52" s="25">
        <v>0</v>
      </c>
      <c r="O52" s="25">
        <v>65776.62</v>
      </c>
      <c r="P52" s="26">
        <f t="shared" si="5"/>
        <v>288710.23</v>
      </c>
      <c r="Q52" s="6"/>
    </row>
    <row r="53" spans="2:17">
      <c r="B53" s="5"/>
      <c r="C53" s="15" t="s">
        <v>36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6">
        <f t="shared" si="5"/>
        <v>0</v>
      </c>
      <c r="Q53" s="6"/>
    </row>
    <row r="54" spans="2:17">
      <c r="B54" s="5"/>
      <c r="C54" s="15" t="s">
        <v>37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6">
        <f t="shared" si="5"/>
        <v>0</v>
      </c>
      <c r="Q54" s="6"/>
    </row>
    <row r="55" spans="2:17">
      <c r="B55" s="5"/>
      <c r="C55" s="15" t="s">
        <v>38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6">
        <f t="shared" si="5"/>
        <v>0</v>
      </c>
      <c r="Q55" s="6"/>
    </row>
    <row r="56" spans="2:17" ht="22.5">
      <c r="B56" s="5"/>
      <c r="C56" s="15" t="s">
        <v>39</v>
      </c>
      <c r="D56" s="19">
        <v>2247404.4900000002</v>
      </c>
      <c r="E56" s="25">
        <v>2347518.75</v>
      </c>
      <c r="F56" s="25">
        <v>3018870.8</v>
      </c>
      <c r="G56" s="25">
        <v>2367586.14</v>
      </c>
      <c r="H56" s="25">
        <v>2979154.67</v>
      </c>
      <c r="I56" s="25">
        <v>2443618.96</v>
      </c>
      <c r="J56" s="25">
        <v>2833674.78</v>
      </c>
      <c r="K56" s="25">
        <v>2573713.3199999998</v>
      </c>
      <c r="L56" s="25">
        <v>2364130.44</v>
      </c>
      <c r="M56" s="25">
        <v>2365119.0099999998</v>
      </c>
      <c r="N56" s="25">
        <v>2954252.34</v>
      </c>
      <c r="O56" s="25">
        <v>2436891.35</v>
      </c>
      <c r="P56" s="26">
        <f t="shared" si="5"/>
        <v>30931935.050000001</v>
      </c>
      <c r="Q56" s="6"/>
    </row>
    <row r="57" spans="2:17">
      <c r="B57" s="5"/>
      <c r="C57" s="15" t="s">
        <v>40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6">
        <f t="shared" si="5"/>
        <v>0</v>
      </c>
      <c r="Q57" s="6"/>
    </row>
    <row r="58" spans="2:17">
      <c r="B58" s="5"/>
      <c r="C58" s="15" t="s">
        <v>41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6">
        <f t="shared" si="5"/>
        <v>0</v>
      </c>
      <c r="Q58" s="6"/>
    </row>
    <row r="59" spans="2:17">
      <c r="B59" s="5"/>
      <c r="C59" s="24" t="s">
        <v>13</v>
      </c>
      <c r="D59" s="26">
        <f>SUM(D48:D58)</f>
        <v>2440853.5</v>
      </c>
      <c r="E59" s="26">
        <f t="shared" ref="E59:P59" si="6">SUM(E48:E58)</f>
        <v>2615887.98</v>
      </c>
      <c r="F59" s="26">
        <f t="shared" si="6"/>
        <v>3329325.6399999997</v>
      </c>
      <c r="G59" s="26">
        <f t="shared" si="6"/>
        <v>2387586.14</v>
      </c>
      <c r="H59" s="26">
        <f t="shared" si="6"/>
        <v>17125937.810000002</v>
      </c>
      <c r="I59" s="26">
        <f t="shared" si="6"/>
        <v>2626342.89</v>
      </c>
      <c r="J59" s="26">
        <f t="shared" si="6"/>
        <v>2897221.1199999996</v>
      </c>
      <c r="K59" s="26">
        <f t="shared" si="6"/>
        <v>3135345.4299999997</v>
      </c>
      <c r="L59" s="26">
        <f t="shared" si="6"/>
        <v>2417040.6800000002</v>
      </c>
      <c r="M59" s="26">
        <f t="shared" si="6"/>
        <v>2601884.63</v>
      </c>
      <c r="N59" s="26">
        <f t="shared" si="6"/>
        <v>2954252.34</v>
      </c>
      <c r="O59" s="26">
        <f t="shared" si="6"/>
        <v>2894304.81</v>
      </c>
      <c r="P59" s="26">
        <f t="shared" si="6"/>
        <v>47425982.969999999</v>
      </c>
      <c r="Q59" s="6"/>
    </row>
    <row r="60" spans="2:17">
      <c r="B60" s="5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6"/>
    </row>
    <row r="61" spans="2:17">
      <c r="B61" s="5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6"/>
    </row>
    <row r="62" spans="2:17">
      <c r="B62" s="5"/>
      <c r="C62" s="43" t="s">
        <v>42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8"/>
      <c r="Q62" s="6"/>
    </row>
    <row r="63" spans="2:17">
      <c r="B63" s="5"/>
      <c r="C63" s="27"/>
      <c r="D63" s="27" t="s">
        <v>1</v>
      </c>
      <c r="E63" s="27" t="s">
        <v>2</v>
      </c>
      <c r="F63" s="27" t="s">
        <v>3</v>
      </c>
      <c r="G63" s="27" t="s">
        <v>4</v>
      </c>
      <c r="H63" s="27" t="s">
        <v>5</v>
      </c>
      <c r="I63" s="27" t="s">
        <v>6</v>
      </c>
      <c r="J63" s="27" t="s">
        <v>7</v>
      </c>
      <c r="K63" s="27" t="s">
        <v>8</v>
      </c>
      <c r="L63" s="27" t="s">
        <v>9</v>
      </c>
      <c r="M63" s="27" t="s">
        <v>10</v>
      </c>
      <c r="N63" s="27" t="s">
        <v>11</v>
      </c>
      <c r="O63" s="27" t="s">
        <v>12</v>
      </c>
      <c r="P63" s="13" t="s">
        <v>13</v>
      </c>
      <c r="Q63" s="6"/>
    </row>
    <row r="64" spans="2:17">
      <c r="B64" s="5"/>
      <c r="C64" s="28" t="s">
        <v>43</v>
      </c>
      <c r="D64" s="29">
        <f>+D43-D59</f>
        <v>25622245.080000006</v>
      </c>
      <c r="E64" s="29">
        <f t="shared" ref="E64:N64" si="7">+E43-E59</f>
        <v>26829035.379999999</v>
      </c>
      <c r="F64" s="29">
        <f t="shared" si="7"/>
        <v>32272736.25</v>
      </c>
      <c r="G64" s="29">
        <f t="shared" si="7"/>
        <v>29107872.91</v>
      </c>
      <c r="H64" s="29">
        <f t="shared" si="7"/>
        <v>43567172.49000001</v>
      </c>
      <c r="I64" s="29">
        <f t="shared" si="7"/>
        <v>31507666.890000001</v>
      </c>
      <c r="J64" s="29">
        <f t="shared" si="7"/>
        <v>34755708.830000006</v>
      </c>
      <c r="K64" s="29">
        <f t="shared" si="7"/>
        <v>30008830.650000002</v>
      </c>
      <c r="L64" s="29">
        <f t="shared" si="7"/>
        <v>24941724.080000002</v>
      </c>
      <c r="M64" s="29">
        <f t="shared" si="7"/>
        <v>25664510.200000003</v>
      </c>
      <c r="N64" s="29">
        <f t="shared" si="7"/>
        <v>42341589.199999988</v>
      </c>
      <c r="O64" s="29">
        <f>+O43-O59</f>
        <v>53713106.329999998</v>
      </c>
      <c r="P64" s="26">
        <f>SUM(D64:O64)</f>
        <v>400332198.28999996</v>
      </c>
      <c r="Q64" s="6"/>
    </row>
    <row r="65" spans="2:17" ht="22.5">
      <c r="B65" s="5"/>
      <c r="C65" s="30" t="s">
        <v>44</v>
      </c>
      <c r="D65" s="29">
        <f>ROUND(D64*0.02,0)</f>
        <v>512445</v>
      </c>
      <c r="E65" s="29">
        <f t="shared" ref="E65:O65" si="8">ROUND(E64*0.02,0)</f>
        <v>536581</v>
      </c>
      <c r="F65" s="29">
        <f t="shared" si="8"/>
        <v>645455</v>
      </c>
      <c r="G65" s="29">
        <f t="shared" si="8"/>
        <v>582157</v>
      </c>
      <c r="H65" s="29">
        <f t="shared" si="8"/>
        <v>871343</v>
      </c>
      <c r="I65" s="29">
        <f t="shared" si="8"/>
        <v>630153</v>
      </c>
      <c r="J65" s="29">
        <f t="shared" si="8"/>
        <v>695114</v>
      </c>
      <c r="K65" s="29">
        <f t="shared" si="8"/>
        <v>600177</v>
      </c>
      <c r="L65" s="29">
        <f t="shared" si="8"/>
        <v>498834</v>
      </c>
      <c r="M65" s="29">
        <f t="shared" si="8"/>
        <v>513290</v>
      </c>
      <c r="N65" s="29">
        <f t="shared" si="8"/>
        <v>846832</v>
      </c>
      <c r="O65" s="29">
        <f t="shared" si="8"/>
        <v>1074262</v>
      </c>
      <c r="P65" s="26">
        <f>SUM(D65:O65)</f>
        <v>8006643</v>
      </c>
      <c r="Q65" s="6"/>
    </row>
    <row r="66" spans="2:17">
      <c r="B66" s="5"/>
      <c r="C66" s="28" t="s">
        <v>45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/>
      <c r="P66" s="26">
        <f>SUM(D66:O66)</f>
        <v>0</v>
      </c>
      <c r="Q66" s="6"/>
    </row>
    <row r="67" spans="2:17" ht="27" customHeight="1">
      <c r="B67" s="5"/>
      <c r="C67" s="31" t="s">
        <v>46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26"/>
      <c r="Q67" s="6"/>
    </row>
    <row r="68" spans="2:17">
      <c r="B68" s="5"/>
      <c r="C68" s="28" t="s">
        <v>47</v>
      </c>
      <c r="D68" s="25">
        <v>152631</v>
      </c>
      <c r="E68" s="25">
        <v>180389</v>
      </c>
      <c r="F68" s="25">
        <v>213945</v>
      </c>
      <c r="G68" s="25">
        <v>227303</v>
      </c>
      <c r="H68" s="25">
        <v>300281</v>
      </c>
      <c r="I68" s="25">
        <v>249995</v>
      </c>
      <c r="J68" s="25">
        <v>197446</v>
      </c>
      <c r="K68" s="25">
        <v>255480</v>
      </c>
      <c r="L68" s="25">
        <v>152238</v>
      </c>
      <c r="M68" s="25">
        <v>167895</v>
      </c>
      <c r="N68" s="25">
        <v>251236</v>
      </c>
      <c r="O68" s="25">
        <v>310533</v>
      </c>
      <c r="P68" s="26">
        <f>SUM(D68:O68)</f>
        <v>2659372</v>
      </c>
      <c r="Q68" s="6"/>
    </row>
    <row r="69" spans="2:17">
      <c r="B69" s="5"/>
      <c r="C69" s="28" t="s">
        <v>53</v>
      </c>
      <c r="D69" s="29">
        <f>+D65-D66-D68</f>
        <v>359814</v>
      </c>
      <c r="E69" s="29">
        <f t="shared" ref="E69:O69" si="9">+E65-E66-E68</f>
        <v>356192</v>
      </c>
      <c r="F69" s="29">
        <f t="shared" si="9"/>
        <v>431510</v>
      </c>
      <c r="G69" s="29">
        <f t="shared" si="9"/>
        <v>354854</v>
      </c>
      <c r="H69" s="29">
        <f t="shared" si="9"/>
        <v>571062</v>
      </c>
      <c r="I69" s="29">
        <f t="shared" si="9"/>
        <v>380158</v>
      </c>
      <c r="J69" s="29">
        <f t="shared" si="9"/>
        <v>497668</v>
      </c>
      <c r="K69" s="29">
        <f t="shared" si="9"/>
        <v>344697</v>
      </c>
      <c r="L69" s="29">
        <f t="shared" si="9"/>
        <v>346596</v>
      </c>
      <c r="M69" s="29">
        <f t="shared" si="9"/>
        <v>345395</v>
      </c>
      <c r="N69" s="29">
        <f t="shared" si="9"/>
        <v>595596</v>
      </c>
      <c r="O69" s="29">
        <f t="shared" si="9"/>
        <v>763729</v>
      </c>
      <c r="P69" s="26">
        <f>SUM(D69:O69)</f>
        <v>5347271</v>
      </c>
      <c r="Q69" s="6"/>
    </row>
    <row r="70" spans="2:17">
      <c r="B70" s="5"/>
      <c r="C70" s="30" t="s">
        <v>48</v>
      </c>
      <c r="D70" s="33">
        <v>359814</v>
      </c>
      <c r="E70" s="33">
        <v>356192</v>
      </c>
      <c r="F70" s="33">
        <v>431510</v>
      </c>
      <c r="G70" s="33">
        <v>354854</v>
      </c>
      <c r="H70" s="33">
        <v>571062</v>
      </c>
      <c r="I70" s="33">
        <v>380158</v>
      </c>
      <c r="J70" s="33">
        <v>497668</v>
      </c>
      <c r="K70" s="33">
        <v>344697</v>
      </c>
      <c r="L70" s="33">
        <v>346596</v>
      </c>
      <c r="M70" s="33">
        <v>345395</v>
      </c>
      <c r="N70" s="33">
        <v>595596</v>
      </c>
      <c r="O70" s="33">
        <v>763729</v>
      </c>
      <c r="P70" s="26">
        <f>SUM(D70:O70)</f>
        <v>5347271</v>
      </c>
      <c r="Q70" s="6"/>
    </row>
    <row r="71" spans="2:17">
      <c r="B71" s="5"/>
      <c r="C71" s="28" t="s">
        <v>49</v>
      </c>
      <c r="D71" s="32">
        <v>40949</v>
      </c>
      <c r="E71" s="32">
        <v>40977</v>
      </c>
      <c r="F71" s="32">
        <v>41012</v>
      </c>
      <c r="G71" s="32">
        <v>41040</v>
      </c>
      <c r="H71" s="32">
        <v>41074</v>
      </c>
      <c r="I71" s="32">
        <v>41103</v>
      </c>
      <c r="J71" s="32">
        <v>41131</v>
      </c>
      <c r="K71" s="32">
        <v>41166</v>
      </c>
      <c r="L71" s="32">
        <v>41194</v>
      </c>
      <c r="M71" s="32">
        <v>41222</v>
      </c>
      <c r="N71" s="32">
        <v>41257</v>
      </c>
      <c r="O71" s="32">
        <v>41285</v>
      </c>
      <c r="P71" s="26"/>
      <c r="Q71" s="6"/>
    </row>
    <row r="72" spans="2:17">
      <c r="B72" s="5"/>
      <c r="C72" s="28" t="s">
        <v>54</v>
      </c>
      <c r="D72" s="29">
        <f>+D69-D70</f>
        <v>0</v>
      </c>
      <c r="E72" s="29">
        <f t="shared" ref="E72:O72" si="10">+E69-E70</f>
        <v>0</v>
      </c>
      <c r="F72" s="29">
        <f t="shared" si="10"/>
        <v>0</v>
      </c>
      <c r="G72" s="29">
        <f t="shared" si="10"/>
        <v>0</v>
      </c>
      <c r="H72" s="29">
        <f t="shared" si="10"/>
        <v>0</v>
      </c>
      <c r="I72" s="29">
        <f t="shared" si="10"/>
        <v>0</v>
      </c>
      <c r="J72" s="29">
        <f t="shared" si="10"/>
        <v>0</v>
      </c>
      <c r="K72" s="29">
        <f t="shared" si="10"/>
        <v>0</v>
      </c>
      <c r="L72" s="29">
        <f t="shared" si="10"/>
        <v>0</v>
      </c>
      <c r="M72" s="29">
        <f t="shared" si="10"/>
        <v>0</v>
      </c>
      <c r="N72" s="29">
        <f t="shared" si="10"/>
        <v>0</v>
      </c>
      <c r="O72" s="29">
        <f t="shared" si="10"/>
        <v>0</v>
      </c>
      <c r="P72" s="26">
        <f>SUM(D72:O72)</f>
        <v>0</v>
      </c>
      <c r="Q72" s="6"/>
    </row>
    <row r="73" spans="2:17" ht="24" customHeight="1" thickBot="1">
      <c r="B73" s="34"/>
      <c r="C73" s="35"/>
      <c r="D73" s="36" t="str">
        <f>IF(D72&lt;&gt;0,"Presente complementaria"," ")</f>
        <v xml:space="preserve"> </v>
      </c>
      <c r="E73" s="36" t="str">
        <f t="shared" ref="E73:O73" si="11">IF(E72&lt;&gt;0,"Presente complementaria"," ")</f>
        <v xml:space="preserve"> </v>
      </c>
      <c r="F73" s="36" t="str">
        <f t="shared" si="11"/>
        <v xml:space="preserve"> </v>
      </c>
      <c r="G73" s="36" t="str">
        <f t="shared" si="11"/>
        <v xml:space="preserve"> </v>
      </c>
      <c r="H73" s="36" t="str">
        <f t="shared" si="11"/>
        <v xml:space="preserve"> </v>
      </c>
      <c r="I73" s="36" t="str">
        <f t="shared" si="11"/>
        <v xml:space="preserve"> </v>
      </c>
      <c r="J73" s="36" t="str">
        <f t="shared" si="11"/>
        <v xml:space="preserve"> </v>
      </c>
      <c r="K73" s="36" t="str">
        <f t="shared" si="11"/>
        <v xml:space="preserve"> </v>
      </c>
      <c r="L73" s="36" t="str">
        <f t="shared" si="11"/>
        <v xml:space="preserve"> </v>
      </c>
      <c r="M73" s="36" t="str">
        <f t="shared" si="11"/>
        <v xml:space="preserve"> </v>
      </c>
      <c r="N73" s="36" t="str">
        <f t="shared" si="11"/>
        <v xml:space="preserve"> </v>
      </c>
      <c r="O73" s="36" t="str">
        <f t="shared" si="11"/>
        <v xml:space="preserve"> </v>
      </c>
      <c r="P73" s="35"/>
      <c r="Q73" s="37"/>
    </row>
  </sheetData>
  <mergeCells count="8">
    <mergeCell ref="C3:P3"/>
    <mergeCell ref="C18:P18"/>
    <mergeCell ref="C46:P46"/>
    <mergeCell ref="C62:O62"/>
    <mergeCell ref="D5:P5"/>
    <mergeCell ref="D6:E6"/>
    <mergeCell ref="D7:E7"/>
    <mergeCell ref="C9:O9"/>
  </mergeCells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Declaracion 2012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González Chávez</dc:creator>
  <cp:lastModifiedBy>Daniel Cruz</cp:lastModifiedBy>
  <cp:lastPrinted>2013-04-29T14:35:46Z</cp:lastPrinted>
  <dcterms:created xsi:type="dcterms:W3CDTF">2013-04-20T01:25:39Z</dcterms:created>
  <dcterms:modified xsi:type="dcterms:W3CDTF">2013-05-03T22:24:34Z</dcterms:modified>
</cp:coreProperties>
</file>